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EigeneDateien\01 Dokumente\04 Gutleutmatten\AK Energie\Arbeitsordner\Offener Brief\Anhänge\"/>
    </mc:Choice>
  </mc:AlternateContent>
  <bookViews>
    <workbookView xWindow="0" yWindow="0" windowWidth="23040" windowHeight="10632"/>
  </bookViews>
  <sheets>
    <sheet name="Vergleich Wärmekosten" sheetId="1" r:id="rId1"/>
  </sheets>
  <definedNames>
    <definedName name="_xlnm.Print_Area" localSheetId="0">'Vergleich Wärmekosten'!$A$1:$I$55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I65" i="1" l="1"/>
  <c r="G65" i="1"/>
  <c r="E65" i="1"/>
  <c r="C65" i="1"/>
  <c r="G8" i="1"/>
  <c r="G24" i="1"/>
  <c r="G7" i="1"/>
  <c r="G41" i="1"/>
  <c r="G30" i="1"/>
  <c r="G43" i="1"/>
  <c r="G44" i="1"/>
  <c r="G13" i="1"/>
  <c r="G45" i="1"/>
  <c r="G46" i="1"/>
  <c r="G14" i="1"/>
  <c r="G37" i="1"/>
  <c r="G47" i="1"/>
  <c r="G15" i="1"/>
  <c r="G48" i="1"/>
  <c r="G49" i="1"/>
  <c r="G54" i="1"/>
  <c r="E26" i="1"/>
  <c r="E28" i="1"/>
  <c r="E29" i="1"/>
  <c r="E24" i="1"/>
  <c r="E41" i="1"/>
  <c r="E8" i="1"/>
  <c r="E30" i="1"/>
  <c r="E43" i="1"/>
  <c r="E44" i="1"/>
  <c r="E35" i="1"/>
  <c r="E45" i="1"/>
  <c r="E46" i="1"/>
  <c r="E14" i="1"/>
  <c r="E37" i="1"/>
  <c r="E47" i="1"/>
  <c r="E15" i="1"/>
  <c r="E48" i="1"/>
  <c r="E49" i="1"/>
  <c r="E54" i="1"/>
  <c r="E68" i="1"/>
  <c r="E70" i="1"/>
  <c r="G68" i="1"/>
  <c r="G70" i="1"/>
  <c r="I7" i="1"/>
  <c r="I13" i="1"/>
  <c r="I26" i="1"/>
  <c r="I28" i="1"/>
  <c r="I29" i="1"/>
  <c r="I24" i="1"/>
  <c r="I41" i="1"/>
  <c r="I8" i="1"/>
  <c r="I30" i="1"/>
  <c r="I43" i="1"/>
  <c r="I44" i="1"/>
  <c r="I45" i="1"/>
  <c r="I46" i="1"/>
  <c r="I14" i="1"/>
  <c r="I47" i="1"/>
  <c r="I15" i="1"/>
  <c r="I48" i="1"/>
  <c r="I49" i="1"/>
  <c r="I54" i="1"/>
  <c r="I68" i="1"/>
  <c r="I70" i="1"/>
  <c r="K7" i="1"/>
  <c r="K42" i="1"/>
  <c r="K64" i="1"/>
  <c r="K33" i="1"/>
  <c r="K44" i="1"/>
  <c r="K14" i="1"/>
  <c r="K37" i="1"/>
  <c r="K47" i="1"/>
  <c r="K15" i="1"/>
  <c r="K48" i="1"/>
  <c r="K49" i="1"/>
  <c r="K68" i="1"/>
  <c r="K70" i="1"/>
  <c r="G58" i="1"/>
  <c r="I58" i="1"/>
  <c r="K58" i="1"/>
  <c r="K50" i="1"/>
  <c r="I50" i="1"/>
  <c r="G50" i="1"/>
  <c r="E50" i="1"/>
  <c r="G57" i="1"/>
  <c r="K13" i="1"/>
  <c r="G16" i="1"/>
  <c r="G51" i="1"/>
  <c r="G52" i="1"/>
  <c r="K51" i="1"/>
  <c r="K65" i="1"/>
  <c r="K66" i="1"/>
  <c r="I16" i="1"/>
  <c r="I51" i="1"/>
  <c r="I66" i="1"/>
  <c r="G66" i="1"/>
  <c r="E16" i="1"/>
  <c r="E51" i="1"/>
  <c r="E66" i="1"/>
  <c r="G55" i="1"/>
  <c r="I55" i="1"/>
  <c r="K55" i="1"/>
  <c r="E55" i="1"/>
  <c r="K54" i="1"/>
  <c r="E40" i="1"/>
  <c r="E53" i="1"/>
  <c r="E52" i="1"/>
  <c r="I53" i="1"/>
  <c r="G53" i="1"/>
  <c r="I52" i="1"/>
  <c r="K61" i="1"/>
  <c r="K59" i="1"/>
  <c r="K53" i="1"/>
  <c r="K52" i="1"/>
  <c r="K16" i="1"/>
  <c r="K21" i="1"/>
  <c r="K8" i="1"/>
  <c r="I40" i="1"/>
  <c r="G40" i="1"/>
</calcChain>
</file>

<file path=xl/comments1.xml><?xml version="1.0" encoding="utf-8"?>
<comments xmlns="http://schemas.openxmlformats.org/spreadsheetml/2006/main">
  <authors>
    <author>Uwe Ilgemann</author>
    <author>Achim Kimmerle</author>
  </authors>
  <commentList>
    <comment ref="E14" authorId="0" shapeId="0">
      <text>
        <r>
          <rPr>
            <sz val="9"/>
            <color indexed="81"/>
            <rFont val="Tahoma"/>
            <family val="2"/>
          </rPr>
          <t xml:space="preserve">incl. Verluste
</t>
        </r>
      </text>
    </comment>
    <comment ref="G14" authorId="0" shapeId="0">
      <text>
        <r>
          <rPr>
            <sz val="9"/>
            <color indexed="81"/>
            <rFont val="Tahoma"/>
            <family val="2"/>
          </rPr>
          <t xml:space="preserve">incl. Verluste
</t>
        </r>
      </text>
    </comment>
    <comment ref="I14" authorId="0" shapeId="0">
      <text>
        <r>
          <rPr>
            <sz val="9"/>
            <color indexed="81"/>
            <rFont val="Tahoma"/>
            <family val="2"/>
          </rPr>
          <t xml:space="preserve">incl. Verluste
</t>
        </r>
      </text>
    </comment>
    <comment ref="K14" authorId="0" shapeId="0">
      <text>
        <r>
          <rPr>
            <sz val="9"/>
            <color indexed="81"/>
            <rFont val="Tahoma"/>
            <family val="2"/>
          </rPr>
          <t xml:space="preserve">incl. Verluste
</t>
        </r>
      </text>
    </comment>
    <comment ref="E15" authorId="0" shapeId="0">
      <text>
        <r>
          <rPr>
            <sz val="9"/>
            <color indexed="81"/>
            <rFont val="Tahoma"/>
            <family val="2"/>
          </rPr>
          <t>incl. Verluste</t>
        </r>
      </text>
    </comment>
    <comment ref="G15" authorId="0" shapeId="0">
      <text>
        <r>
          <rPr>
            <sz val="9"/>
            <color indexed="81"/>
            <rFont val="Tahoma"/>
            <family val="2"/>
          </rPr>
          <t>incl. Verluste</t>
        </r>
      </text>
    </comment>
    <comment ref="I15" authorId="0" shapeId="0">
      <text>
        <r>
          <rPr>
            <sz val="9"/>
            <color indexed="81"/>
            <rFont val="Tahoma"/>
            <family val="2"/>
          </rPr>
          <t>incl. Verluste</t>
        </r>
      </text>
    </comment>
    <comment ref="K15" authorId="0" shapeId="0">
      <text>
        <r>
          <rPr>
            <sz val="9"/>
            <color indexed="81"/>
            <rFont val="Tahoma"/>
            <family val="2"/>
          </rPr>
          <t>incl. Verluste</t>
        </r>
      </text>
    </comment>
    <comment ref="E24" authorId="0" shapeId="0">
      <text>
        <r>
          <rPr>
            <sz val="9"/>
            <color indexed="81"/>
            <rFont val="Tahoma"/>
            <family val="2"/>
          </rPr>
          <t>gemäß badenova Kostenansatz 2011 mit Grundpreis, Leistungspreis</t>
        </r>
      </text>
    </comment>
    <comment ref="I24" authorId="0" shapeId="0">
      <text>
        <r>
          <rPr>
            <sz val="9"/>
            <color indexed="81"/>
            <rFont val="Tahoma"/>
            <family val="2"/>
          </rPr>
          <t>gemäß badenova Kostenansatz 2011 mit Grundpreis, Leistungspreis</t>
        </r>
      </text>
    </comment>
    <comment ref="E26" authorId="0" shapeId="0">
      <text>
        <r>
          <rPr>
            <b/>
            <sz val="9"/>
            <color indexed="81"/>
            <rFont val="Tahoma"/>
            <family val="2"/>
          </rPr>
          <t>gemäß Projekt Vaubanaise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gemäß Projekt Vaubanaise</t>
        </r>
      </text>
    </comment>
    <comment ref="E28" authorId="0" shapeId="0">
      <text>
        <r>
          <rPr>
            <sz val="9"/>
            <color indexed="81"/>
            <rFont val="Tahoma"/>
            <family val="2"/>
          </rPr>
          <t>gemäß Vaubanaise</t>
        </r>
      </text>
    </comment>
    <comment ref="I28" authorId="0" shapeId="0">
      <text>
        <r>
          <rPr>
            <sz val="9"/>
            <color indexed="81"/>
            <rFont val="Tahoma"/>
            <family val="2"/>
          </rPr>
          <t>gemäß Vaubanaise</t>
        </r>
      </text>
    </comment>
    <comment ref="E29" authorId="0" shapeId="0">
      <text>
        <r>
          <rPr>
            <sz val="9"/>
            <color indexed="81"/>
            <rFont val="Tahoma"/>
            <family val="2"/>
          </rPr>
          <t>gemäß Vaubanaise</t>
        </r>
      </text>
    </comment>
    <comment ref="I29" authorId="0" shapeId="0">
      <text>
        <r>
          <rPr>
            <sz val="9"/>
            <color indexed="81"/>
            <rFont val="Tahoma"/>
            <family val="2"/>
          </rPr>
          <t>gemäß Vaubanaise</t>
        </r>
      </text>
    </comment>
    <comment ref="E32" authorId="0" shapeId="0">
      <text>
        <r>
          <rPr>
            <sz val="9"/>
            <color indexed="81"/>
            <rFont val="Tahoma"/>
            <family val="2"/>
          </rPr>
          <t>Vaubanaise 28.600 € zzgl. MWSt. für 70 kWth</t>
        </r>
      </text>
    </comment>
    <comment ref="I32" authorId="0" shapeId="0">
      <text>
        <r>
          <rPr>
            <sz val="9"/>
            <color indexed="81"/>
            <rFont val="Tahoma"/>
            <family val="2"/>
          </rPr>
          <t>Vaubanaise 28.600 € zzgl. MWSt. für 70 kWth</t>
        </r>
      </text>
    </comment>
    <comment ref="A38" authorId="1" shapeId="0">
      <text>
        <r>
          <rPr>
            <b/>
            <sz val="9"/>
            <color indexed="81"/>
            <rFont val="Tahoma"/>
            <family val="2"/>
          </rPr>
          <t>Achim Kimmerle:</t>
        </r>
        <r>
          <rPr>
            <sz val="9"/>
            <color indexed="81"/>
            <rFont val="Tahoma"/>
            <family val="2"/>
          </rPr>
          <t xml:space="preserve">
100% für Häuser mit Solarkollektoren
0% für Häuser ohne</t>
        </r>
      </text>
    </comment>
    <comment ref="G52" authorId="1" shapeId="0">
      <text>
        <r>
          <rPr>
            <b/>
            <sz val="9"/>
            <color indexed="81"/>
            <rFont val="Segoe UI"/>
            <family val="2"/>
          </rPr>
          <t>Stimmt ohne Investitionskostenzuschuss überein mit Berechnung von Ripka/badenova</t>
        </r>
      </text>
    </comment>
    <comment ref="G54" authorId="1" shapeId="0">
      <text>
        <r>
          <rPr>
            <b/>
            <sz val="9"/>
            <color indexed="81"/>
            <rFont val="Segoe UI"/>
            <family val="2"/>
          </rPr>
          <t>Stimmt überein mit Berechnung von Weiss</t>
        </r>
      </text>
    </comment>
    <comment ref="K55" authorId="1" shapeId="0">
      <text>
        <r>
          <rPr>
            <b/>
            <sz val="9"/>
            <color indexed="81"/>
            <rFont val="Tahoma"/>
            <family val="2"/>
          </rPr>
          <t>Achim Kimmerle:</t>
        </r>
        <r>
          <rPr>
            <sz val="9"/>
            <color indexed="81"/>
            <rFont val="Tahoma"/>
            <family val="2"/>
          </rPr>
          <t xml:space="preserve">
Nur aktueller Verbrauch - nicht berücksichtigt, dass Anlage kleiner ausfallen kann, wenn Baustandard besser</t>
        </r>
      </text>
    </comment>
    <comment ref="K65" authorId="1" shapeId="0">
      <text>
        <r>
          <rPr>
            <b/>
            <sz val="9"/>
            <color indexed="81"/>
            <rFont val="Segoe UI"/>
            <family val="2"/>
          </rPr>
          <t>Dieser Preis ist relativ Inflationsstabil</t>
        </r>
      </text>
    </comment>
    <comment ref="A66" authorId="1" shapeId="0">
      <text>
        <r>
          <rPr>
            <b/>
            <sz val="9"/>
            <color indexed="81"/>
            <rFont val="Tahoma"/>
            <family val="2"/>
          </rPr>
          <t>Achim Kimmerle:</t>
        </r>
        <r>
          <rPr>
            <sz val="9"/>
            <color indexed="81"/>
            <rFont val="Tahoma"/>
            <family val="2"/>
          </rPr>
          <t xml:space="preserve">
Porzentual höherer Preis im geplanten System</t>
        </r>
      </text>
    </comment>
    <comment ref="A68" authorId="1" shapeId="0">
      <text>
        <r>
          <rPr>
            <b/>
            <sz val="9"/>
            <color indexed="81"/>
            <rFont val="Segoe UI"/>
            <family val="2"/>
          </rPr>
          <t>Gesamtbetrachtung mit Vorteil des vermiedenen Strombezugs, umgelegt auf Wärmekosten um Vergleichbarkeit zu erreichen.</t>
        </r>
      </text>
    </comment>
  </commentList>
</comments>
</file>

<file path=xl/sharedStrings.xml><?xml version="1.0" encoding="utf-8"?>
<sst xmlns="http://schemas.openxmlformats.org/spreadsheetml/2006/main" count="135" uniqueCount="100">
  <si>
    <t>Arbeitspreis Lieferung:</t>
  </si>
  <si>
    <t>m²</t>
  </si>
  <si>
    <t>kW</t>
  </si>
  <si>
    <t>€/kWh</t>
  </si>
  <si>
    <t>Jahre</t>
  </si>
  <si>
    <t>kWh/a</t>
  </si>
  <si>
    <t>Wärmekosten pro Jahr</t>
  </si>
  <si>
    <t>Leistungspreis</t>
  </si>
  <si>
    <t>Leistungspreis:</t>
  </si>
  <si>
    <t>Wärme Heizung</t>
  </si>
  <si>
    <t>Wärme WWB</t>
  </si>
  <si>
    <t>Anteil Solar</t>
  </si>
  <si>
    <t>€/m²/Monat</t>
  </si>
  <si>
    <t>€/kWh Brutto</t>
  </si>
  <si>
    <t>€ Brutto</t>
  </si>
  <si>
    <t>Messpreis</t>
  </si>
  <si>
    <t>Messpreis:</t>
  </si>
  <si>
    <t>€/a Brutto</t>
  </si>
  <si>
    <t>Grundpreis</t>
  </si>
  <si>
    <t>Grundpreis:</t>
  </si>
  <si>
    <t>€/kW/a Brutto</t>
  </si>
  <si>
    <t>€/m²/a Brutto</t>
  </si>
  <si>
    <t>kWh/m²/a</t>
  </si>
  <si>
    <t>variable Kosten</t>
  </si>
  <si>
    <t>Hausanschluss</t>
  </si>
  <si>
    <t>€/m² BGF</t>
  </si>
  <si>
    <t>Investitionszuschuss</t>
  </si>
  <si>
    <t>Leitung 10m</t>
  </si>
  <si>
    <t>Übergabestation fix</t>
  </si>
  <si>
    <t>Übergabestation pro m²</t>
  </si>
  <si>
    <t>Gesamtkosten, Brutto</t>
  </si>
  <si>
    <t>Vauban Effh55</t>
  </si>
  <si>
    <t>Incl. Investition</t>
  </si>
  <si>
    <t>Ohne Investition</t>
  </si>
  <si>
    <t>Preisbasis Vauban 2015</t>
  </si>
  <si>
    <t>Investition Hausanschluss</t>
  </si>
  <si>
    <t>Investition Übergabestation</t>
  </si>
  <si>
    <t>Jahreswärmekosten für ein Gebäude im Baugebiet Gutleutmatten</t>
  </si>
  <si>
    <t>Abschreibungsdauer Übergabest.</t>
  </si>
  <si>
    <t>Abschreibungsdauer Hausanschluss</t>
  </si>
  <si>
    <t>Baukostenzuschuss GLM</t>
  </si>
  <si>
    <t>Baukostenzuschuss Vauban</t>
  </si>
  <si>
    <t>Grundstück</t>
  </si>
  <si>
    <t>Preisstand</t>
  </si>
  <si>
    <t>Zulässige BGF</t>
  </si>
  <si>
    <t>Beheizte Fläche</t>
  </si>
  <si>
    <t>Heizwärmeverbrauch</t>
  </si>
  <si>
    <t>WWB-Wärmeverbrauch</t>
  </si>
  <si>
    <t>Wärmeverluste</t>
  </si>
  <si>
    <t>Heizwärmeleistung</t>
  </si>
  <si>
    <t>Gaskosten</t>
  </si>
  <si>
    <t>Grundpreis Gas</t>
  </si>
  <si>
    <t>Nutzungsdauer BHKW</t>
  </si>
  <si>
    <t>Bh/a</t>
  </si>
  <si>
    <t>Gaskosten Warmwasser</t>
  </si>
  <si>
    <t>Gaskosten Heizung</t>
  </si>
  <si>
    <t>Bezugskosten Strom (Arbeitspreis)</t>
  </si>
  <si>
    <t>Vollwartung</t>
  </si>
  <si>
    <t>Gestehungskosten Strom BHKW ohne Invest</t>
  </si>
  <si>
    <t>Preisbasis Stahl&amp;Weiss 2012</t>
  </si>
  <si>
    <t>Gutleutmatten Effh55</t>
  </si>
  <si>
    <t>Gesamt Wärme</t>
  </si>
  <si>
    <t>Wärme Warmwasser</t>
  </si>
  <si>
    <t>Preisvergleich (Stahl&amp;Weiss=100%)</t>
  </si>
  <si>
    <t>Betriebsstunden BHKW</t>
  </si>
  <si>
    <t>Zinzsatz (nominal)</t>
  </si>
  <si>
    <t>€/a</t>
  </si>
  <si>
    <t>Arbeitspreis Gas, abzgl. Erdgassteuer</t>
  </si>
  <si>
    <t>Eigenes BHKW 16kWel+ Effh55 monovalent</t>
  </si>
  <si>
    <t>Basisvariante</t>
  </si>
  <si>
    <t>BHKW-Variante (Nutzungsdauer)</t>
  </si>
  <si>
    <t>Übergabest. (20a)</t>
  </si>
  <si>
    <t>Annuität (rmz-funktion)</t>
  </si>
  <si>
    <t>Kosten BHKW/Speicher etc.</t>
  </si>
  <si>
    <t>Hausanschluss (20a) BHKW (20a)</t>
  </si>
  <si>
    <t xml:space="preserve"> → Zusätzliche Einsparung für Hausbesitzer</t>
  </si>
  <si>
    <t>Dezentrale Variante BHKW</t>
  </si>
  <si>
    <t>€/100m²/Monat</t>
  </si>
  <si>
    <t>Baustandard</t>
  </si>
  <si>
    <t>Preisbasis</t>
  </si>
  <si>
    <t>GLM 
Mindeststandard</t>
  </si>
  <si>
    <t>Gutachten Stahl und Weiß</t>
  </si>
  <si>
    <t>GLM</t>
  </si>
  <si>
    <t>Vauban</t>
  </si>
  <si>
    <t>Preisbasis GLM 2015</t>
  </si>
  <si>
    <t>Daraus Gesamtersparnis €/a</t>
  </si>
  <si>
    <t xml:space="preserve"> → Erhöhte Kosten GLM</t>
  </si>
  <si>
    <t>Zusätzlich nicht berücksichtigt: Vertriebserlös Strom, Einsparung durch PV, Batterie, Netzführung der KWK…</t>
  </si>
  <si>
    <t>Abdeckung der Investitionskosten durch vermiedene Bezugskosten</t>
  </si>
  <si>
    <t>Ergibt bereinigte Wärmekosten</t>
  </si>
  <si>
    <t>Gebäude: Randbedingungen aus Vortrag badenova/Ribka</t>
  </si>
  <si>
    <t>525 bis 776</t>
  </si>
  <si>
    <t>Geplantes System</t>
  </si>
  <si>
    <t>Vergleich mit Vauban</t>
  </si>
  <si>
    <t>Alternative</t>
  </si>
  <si>
    <t>Großzügige Abschätzung eines externen Experten.</t>
  </si>
  <si>
    <t>Differenz € pro Jahr</t>
  </si>
  <si>
    <r>
      <t xml:space="preserve">Investitionskosten werden abgedeckt bei durchnittlichem Eigenstromverbrauch (Bundesdurchschnitt) und modulierender Betriebsweise: </t>
    </r>
    <r>
      <rPr>
        <sz val="11"/>
        <color rgb="FFFF0000"/>
        <rFont val="Arial"/>
        <family val="2"/>
      </rPr>
      <t>100%</t>
    </r>
    <r>
      <rPr>
        <sz val="11"/>
        <color theme="1"/>
        <rFont val="Arial"/>
        <family val="2"/>
      </rPr>
      <t>. Sehr konservative Abschätzung nach unten: bei niedrigem Stromverbrauch und Eigenstromverbrauch: mindestens</t>
    </r>
    <r>
      <rPr>
        <sz val="11"/>
        <color rgb="FFFF0000"/>
        <rFont val="Arial"/>
        <family val="2"/>
      </rPr>
      <t xml:space="preserve"> 50%</t>
    </r>
  </si>
  <si>
    <t>Nicht berücksichtigt: Preissteigerungen: der Preis steigt bei den Nahwärmeversorgungen relativ mit der Inflation/Einkommensentwicklung/Gaspreis</t>
  </si>
  <si>
    <r>
      <t>Kosten pro kWh</t>
    </r>
    <r>
      <rPr>
        <vertAlign val="subscript"/>
        <sz val="11"/>
        <color theme="1"/>
        <rFont val="Arial"/>
        <family val="2"/>
      </rPr>
      <t>Wärme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</si>
</sst>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* #,##0.00\ &quot;€&quot;_-;\-* #,##0.00\ &quot;€&quot;_-;_-* &quot;-&quot;??\ &quot;€&quot;_-;_-@_-"/>
    <numFmt numFmtId="164" formatCode="0.0000"/>
    <numFmt numFmtId="165" formatCode="_-* #,##0\ &quot;€&quot;_-;\-* #,##0\ &quot;€&quot;_-;_-* &quot;-&quot;??\ &quot;€&quot;_-;_-@_-"/>
    <numFmt numFmtId="166" formatCode="_-* #,##0.00\ [$€-1]_-;\-* #,##0.00\ [$€-1]_-;_-* &quot;-&quot;??\ [$€-1]_-;_-@_-"/>
    <numFmt numFmtId="167" formatCode="_-* #,##0\ [$€-1]_-;\-* #,##0\ [$€-1]_-;_-* &quot;-&quot;??\ [$€-1]_-;_-@_-"/>
    <numFmt numFmtId="168" formatCode="0.000"/>
    <numFmt numFmtId="169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sz val="11"/>
      <color theme="7" tint="0.39997558519241921"/>
      <name val="Arial"/>
      <family val="2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 tint="-0.249977111117893"/>
      <name val="Arial"/>
      <family val="2"/>
    </font>
    <font>
      <b/>
      <sz val="11"/>
      <color theme="0" tint="-0.249977111117893"/>
      <name val="Arial"/>
      <family val="2"/>
    </font>
    <font>
      <vertAlign val="subscript"/>
      <sz val="11"/>
      <color theme="1"/>
      <name val="Arial"/>
      <family val="2"/>
    </font>
    <font>
      <sz val="11"/>
      <name val="Arial"/>
      <family val="2"/>
    </font>
    <font>
      <b/>
      <sz val="9"/>
      <color indexed="81"/>
      <name val="Segoe UI"/>
      <family val="2"/>
    </font>
  </fonts>
  <fills count="7">
    <fill>
      <patternFill patternType="none"/>
    </fill>
    <fill>
      <patternFill patternType="gray125"/>
    </fill>
    <fill>
      <patternFill patternType="solid">
        <fgColor theme="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59">
    <xf numFmtId="0" fontId="0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1" fontId="9" fillId="0" borderId="0" xfId="0" applyNumberFormat="1" applyFont="1"/>
    <xf numFmtId="3" fontId="9" fillId="0" borderId="0" xfId="0" applyNumberFormat="1" applyFont="1"/>
    <xf numFmtId="9" fontId="9" fillId="0" borderId="0" xfId="1" applyFont="1"/>
    <xf numFmtId="3" fontId="8" fillId="0" borderId="0" xfId="0" applyNumberFormat="1" applyFont="1"/>
    <xf numFmtId="0" fontId="8" fillId="0" borderId="0" xfId="0" applyFont="1" applyAlignment="1">
      <alignment horizontal="left" indent="2"/>
    </xf>
    <xf numFmtId="4" fontId="10" fillId="0" borderId="0" xfId="0" applyNumberFormat="1" applyFont="1"/>
    <xf numFmtId="0" fontId="8" fillId="0" borderId="0" xfId="0" applyFont="1" applyAlignment="1">
      <alignment horizontal="right"/>
    </xf>
    <xf numFmtId="0" fontId="8" fillId="0" borderId="0" xfId="0" applyFont="1" applyAlignment="1"/>
    <xf numFmtId="3" fontId="10" fillId="0" borderId="0" xfId="0" applyNumberFormat="1" applyFont="1"/>
    <xf numFmtId="2" fontId="9" fillId="0" borderId="0" xfId="0" applyNumberFormat="1" applyFont="1"/>
    <xf numFmtId="9" fontId="9" fillId="0" borderId="0" xfId="0" applyNumberFormat="1" applyFont="1"/>
    <xf numFmtId="164" fontId="9" fillId="0" borderId="0" xfId="0" applyNumberFormat="1" applyFont="1"/>
    <xf numFmtId="165" fontId="8" fillId="0" borderId="0" xfId="2" applyNumberFormat="1" applyFont="1"/>
    <xf numFmtId="165" fontId="7" fillId="0" borderId="0" xfId="2" applyNumberFormat="1" applyFont="1"/>
    <xf numFmtId="9" fontId="8" fillId="0" borderId="0" xfId="1" applyFont="1"/>
    <xf numFmtId="2" fontId="8" fillId="0" borderId="0" xfId="0" applyNumberFormat="1" applyFont="1"/>
    <xf numFmtId="1" fontId="8" fillId="0" borderId="0" xfId="0" applyNumberFormat="1" applyFont="1"/>
    <xf numFmtId="0" fontId="7" fillId="0" borderId="0" xfId="0" applyFont="1" applyAlignment="1">
      <alignment horizontal="center" vertical="center"/>
    </xf>
    <xf numFmtId="166" fontId="8" fillId="0" borderId="0" xfId="0" applyNumberFormat="1" applyFont="1"/>
    <xf numFmtId="0" fontId="9" fillId="0" borderId="0" xfId="0" applyFont="1"/>
    <xf numFmtId="167" fontId="8" fillId="0" borderId="0" xfId="0" applyNumberFormat="1" applyFont="1"/>
    <xf numFmtId="3" fontId="7" fillId="0" borderId="0" xfId="0" applyNumberFormat="1" applyFont="1"/>
    <xf numFmtId="3" fontId="11" fillId="0" borderId="0" xfId="0" applyNumberFormat="1" applyFont="1"/>
    <xf numFmtId="0" fontId="12" fillId="0" borderId="0" xfId="0" applyFont="1"/>
    <xf numFmtId="166" fontId="7" fillId="0" borderId="0" xfId="0" applyNumberFormat="1" applyFont="1"/>
    <xf numFmtId="0" fontId="7" fillId="0" borderId="0" xfId="0" applyFont="1" applyAlignment="1">
      <alignment horizontal="right"/>
    </xf>
    <xf numFmtId="9" fontId="7" fillId="0" borderId="0" xfId="1" applyFont="1"/>
    <xf numFmtId="0" fontId="7" fillId="0" borderId="0" xfId="0" applyFont="1" applyAlignment="1">
      <alignment horizontal="center" vertical="center" wrapText="1"/>
    </xf>
    <xf numFmtId="0" fontId="13" fillId="0" borderId="0" xfId="0" applyFont="1"/>
    <xf numFmtId="3" fontId="13" fillId="0" borderId="0" xfId="0" applyNumberFormat="1" applyFont="1"/>
    <xf numFmtId="0" fontId="14" fillId="0" borderId="0" xfId="0" applyFont="1"/>
    <xf numFmtId="0" fontId="8" fillId="2" borderId="0" xfId="0" applyFont="1" applyFill="1"/>
    <xf numFmtId="0" fontId="0" fillId="2" borderId="0" xfId="0" applyFill="1"/>
    <xf numFmtId="2" fontId="8" fillId="2" borderId="0" xfId="0" applyNumberFormat="1" applyFont="1" applyFill="1"/>
    <xf numFmtId="0" fontId="8" fillId="4" borderId="0" xfId="0" applyFont="1" applyFill="1" applyAlignment="1">
      <alignment wrapText="1"/>
    </xf>
    <xf numFmtId="0" fontId="8" fillId="3" borderId="0" xfId="0" applyFont="1" applyFill="1" applyAlignment="1">
      <alignment vertical="top" wrapText="1"/>
    </xf>
    <xf numFmtId="0" fontId="8" fillId="4" borderId="0" xfId="0" applyFont="1" applyFill="1" applyAlignment="1">
      <alignment vertical="top" wrapText="1"/>
    </xf>
    <xf numFmtId="0" fontId="8" fillId="5" borderId="0" xfId="0" applyFont="1" applyFill="1" applyAlignment="1">
      <alignment vertical="top" wrapText="1"/>
    </xf>
    <xf numFmtId="2" fontId="8" fillId="0" borderId="0" xfId="0" applyNumberFormat="1" applyFont="1" applyFill="1"/>
    <xf numFmtId="168" fontId="7" fillId="0" borderId="0" xfId="0" applyNumberFormat="1" applyFont="1"/>
    <xf numFmtId="168" fontId="8" fillId="0" borderId="0" xfId="0" applyNumberFormat="1" applyFont="1"/>
    <xf numFmtId="0" fontId="8" fillId="0" borderId="0" xfId="0" applyFont="1" applyFill="1"/>
    <xf numFmtId="165" fontId="8" fillId="0" borderId="0" xfId="0" applyNumberFormat="1" applyFont="1" applyFill="1"/>
    <xf numFmtId="0" fontId="0" fillId="0" borderId="0" xfId="0" applyFont="1"/>
    <xf numFmtId="1" fontId="7" fillId="0" borderId="0" xfId="0" applyNumberFormat="1" applyFont="1"/>
    <xf numFmtId="0" fontId="8" fillId="6" borderId="0" xfId="0" applyFont="1" applyFill="1"/>
    <xf numFmtId="9" fontId="7" fillId="6" borderId="0" xfId="1" applyFont="1" applyFill="1"/>
    <xf numFmtId="0" fontId="0" fillId="6" borderId="0" xfId="0" applyFill="1"/>
    <xf numFmtId="169" fontId="9" fillId="0" borderId="0" xfId="1" applyNumberFormat="1" applyFont="1"/>
    <xf numFmtId="169" fontId="9" fillId="0" borderId="0" xfId="0" applyNumberFormat="1" applyFont="1"/>
    <xf numFmtId="169" fontId="0" fillId="0" borderId="0" xfId="0" applyNumberFormat="1"/>
    <xf numFmtId="0" fontId="13" fillId="0" borderId="0" xfId="0" applyFont="1" applyFill="1"/>
    <xf numFmtId="0" fontId="16" fillId="0" borderId="0" xfId="0" applyFont="1" applyFill="1"/>
    <xf numFmtId="0" fontId="16" fillId="0" borderId="0" xfId="0" applyFont="1"/>
    <xf numFmtId="0" fontId="8" fillId="0" borderId="0" xfId="0" applyFont="1" applyFill="1" applyAlignment="1">
      <alignment horizontal="left" vertical="top" wrapText="1"/>
    </xf>
    <xf numFmtId="165" fontId="7" fillId="6" borderId="0" xfId="0" applyNumberFormat="1" applyFont="1" applyFill="1"/>
    <xf numFmtId="168" fontId="8" fillId="0" borderId="0" xfId="0" applyNumberFormat="1" applyFont="1" applyFill="1"/>
    <xf numFmtId="9" fontId="8" fillId="0" borderId="0" xfId="1" applyFont="1" applyFill="1"/>
    <xf numFmtId="0" fontId="0" fillId="0" borderId="0" xfId="0" applyFill="1"/>
  </cellXfs>
  <cellStyles count="159">
    <cellStyle name="Besuchter Hyperlink" xfId="4" builtinId="9" hidden="1"/>
    <cellStyle name="Besuchter Hyperlink" xfId="6" builtinId="9" hidden="1"/>
    <cellStyle name="Besuchter Hyperlink" xfId="8" builtinId="9" hidden="1"/>
    <cellStyle name="Besuchter Hyperlink" xfId="10" builtinId="9" hidden="1"/>
    <cellStyle name="Besuchter Hyperlink" xfId="12" builtinId="9" hidden="1"/>
    <cellStyle name="Besuchter Hyperlink" xfId="14" builtinId="9" hidden="1"/>
    <cellStyle name="Besuchter Hyperlink" xfId="16" builtinId="9" hidden="1"/>
    <cellStyle name="Besuchter Hyperlink" xfId="18" builtinId="9" hidden="1"/>
    <cellStyle name="Besuchter Hyperlink" xfId="20" builtinId="9" hidden="1"/>
    <cellStyle name="Besuchter Hyperlink" xfId="22" builtinId="9" hidden="1"/>
    <cellStyle name="Besuchter Hyperlink" xfId="24" builtinId="9" hidden="1"/>
    <cellStyle name="Besuchter Hyperlink" xfId="26" builtinId="9" hidden="1"/>
    <cellStyle name="Besuchter Hyperlink" xfId="28" builtinId="9" hidden="1"/>
    <cellStyle name="Besuchter Hyperlink" xfId="30" builtinId="9" hidden="1"/>
    <cellStyle name="Besuchter Hyperlink" xfId="32" builtinId="9" hidden="1"/>
    <cellStyle name="Besuchter Hyperlink" xfId="34" builtinId="9" hidden="1"/>
    <cellStyle name="Besuchter Hyperlink" xfId="36" builtinId="9" hidden="1"/>
    <cellStyle name="Besuchter Hyperlink" xfId="38" builtinId="9" hidden="1"/>
    <cellStyle name="Besuchter Hyperlink" xfId="40" builtinId="9" hidden="1"/>
    <cellStyle name="Besuchter Hyperlink" xfId="42" builtinId="9" hidden="1"/>
    <cellStyle name="Besuchter Hyperlink" xfId="44" builtinId="9" hidden="1"/>
    <cellStyle name="Besuchter Hyperlink" xfId="46" builtinId="9" hidden="1"/>
    <cellStyle name="Besuchter Hyperlink" xfId="48" builtinId="9" hidden="1"/>
    <cellStyle name="Besuchter Hyperlink" xfId="50" builtinId="9" hidden="1"/>
    <cellStyle name="Besuchter Hyperlink" xfId="52" builtinId="9" hidden="1"/>
    <cellStyle name="Besuchter Hyperlink" xfId="54" builtinId="9" hidden="1"/>
    <cellStyle name="Besuchter Hyperlink" xfId="56" builtinId="9" hidden="1"/>
    <cellStyle name="Besuchter Hyperlink" xfId="58" builtinId="9" hidden="1"/>
    <cellStyle name="Besuchter Hyperlink" xfId="60" builtinId="9" hidden="1"/>
    <cellStyle name="Besuchter Hyperlink" xfId="62" builtinId="9" hidden="1"/>
    <cellStyle name="Besuchter Hyperlink" xfId="64" builtinId="9" hidden="1"/>
    <cellStyle name="Besuchter Hyperlink" xfId="66" builtinId="9" hidden="1"/>
    <cellStyle name="Besuchter Hyperlink" xfId="68" builtinId="9" hidden="1"/>
    <cellStyle name="Besuchter Hyperlink" xfId="70" builtinId="9" hidden="1"/>
    <cellStyle name="Besuchter Hyperlink" xfId="72" builtinId="9" hidden="1"/>
    <cellStyle name="Besuchter Hyperlink" xfId="74" builtinId="9" hidden="1"/>
    <cellStyle name="Besuchter Hyperlink" xfId="76" builtinId="9" hidden="1"/>
    <cellStyle name="Besuchter Hyperlink" xfId="78" builtinId="9" hidden="1"/>
    <cellStyle name="Besuchter Hyperlink" xfId="80" builtinId="9" hidden="1"/>
    <cellStyle name="Besuchter Hyperlink" xfId="82" builtinId="9" hidden="1"/>
    <cellStyle name="Besuchter Hyperlink" xfId="84" builtinId="9" hidden="1"/>
    <cellStyle name="Besuchter Hyperlink" xfId="86" builtinId="9" hidden="1"/>
    <cellStyle name="Besuchter Hyperlink" xfId="88" builtinId="9" hidden="1"/>
    <cellStyle name="Besuchter Hyperlink" xfId="90" builtinId="9" hidden="1"/>
    <cellStyle name="Besuchter Hyperlink" xfId="92" builtinId="9" hidden="1"/>
    <cellStyle name="Besuchter Hyperlink" xfId="94" builtinId="9" hidden="1"/>
    <cellStyle name="Besuchter Hyperlink" xfId="96" builtinId="9" hidden="1"/>
    <cellStyle name="Besuchter Hyperlink" xfId="98" builtinId="9" hidden="1"/>
    <cellStyle name="Besuchter Hyperlink" xfId="100" builtinId="9" hidden="1"/>
    <cellStyle name="Besuchter Hyperlink" xfId="102" builtinId="9" hidden="1"/>
    <cellStyle name="Besuchter Hyperlink" xfId="104" builtinId="9" hidden="1"/>
    <cellStyle name="Besuchter Hyperlink" xfId="106" builtinId="9" hidden="1"/>
    <cellStyle name="Besuchter Hyperlink" xfId="108" builtinId="9" hidden="1"/>
    <cellStyle name="Besuchter Hyperlink" xfId="110" builtinId="9" hidden="1"/>
    <cellStyle name="Besuchter Hyperlink" xfId="112" builtinId="9" hidden="1"/>
    <cellStyle name="Besuchter Hyperlink" xfId="114" builtinId="9" hidden="1"/>
    <cellStyle name="Besuchter Hyperlink" xfId="116" builtinId="9" hidden="1"/>
    <cellStyle name="Besuchter Hyperlink" xfId="118" builtinId="9" hidden="1"/>
    <cellStyle name="Besuchter Hyperlink" xfId="120" builtinId="9" hidden="1"/>
    <cellStyle name="Besuchter Hyperlink" xfId="122" builtinId="9" hidden="1"/>
    <cellStyle name="Besuchter Hyperlink" xfId="124" builtinId="9" hidden="1"/>
    <cellStyle name="Besuchter Hyperlink" xfId="126" builtinId="9" hidden="1"/>
    <cellStyle name="Besuchter Hyperlink" xfId="128" builtinId="9" hidden="1"/>
    <cellStyle name="Besuchter Hyperlink" xfId="130" builtinId="9" hidden="1"/>
    <cellStyle name="Besuchter Hyperlink" xfId="132" builtinId="9" hidden="1"/>
    <cellStyle name="Besuchter Hyperlink" xfId="134" builtinId="9" hidden="1"/>
    <cellStyle name="Besuchter Hyperlink" xfId="136" builtinId="9" hidden="1"/>
    <cellStyle name="Besuchter Hyperlink" xfId="138" builtinId="9" hidden="1"/>
    <cellStyle name="Besuchter Hyperlink" xfId="140" builtinId="9" hidden="1"/>
    <cellStyle name="Besuchter Hyperlink" xfId="142" builtinId="9" hidden="1"/>
    <cellStyle name="Besuchter Hyperlink" xfId="144" builtinId="9" hidden="1"/>
    <cellStyle name="Besuchter Hyperlink" xfId="146" builtinId="9" hidden="1"/>
    <cellStyle name="Besuchter Hyperlink" xfId="148" builtinId="9" hidden="1"/>
    <cellStyle name="Besuchter Hyperlink" xfId="150" builtinId="9" hidden="1"/>
    <cellStyle name="Besuchter Hyperlink" xfId="152" builtinId="9" hidden="1"/>
    <cellStyle name="Besuchter Hyperlink" xfId="154" builtinId="9" hidden="1"/>
    <cellStyle name="Besuchter Hyperlink" xfId="156" builtinId="9" hidden="1"/>
    <cellStyle name="Besuchter Hyperlink" xfId="158" builtinId="9" hidden="1"/>
    <cellStyle name="Link" xfId="3" builtinId="8" hidden="1"/>
    <cellStyle name="Link" xfId="5" builtinId="8" hidden="1"/>
    <cellStyle name="Link" xfId="7" builtinId="8" hidden="1"/>
    <cellStyle name="Link" xfId="9" builtinId="8" hidden="1"/>
    <cellStyle name="Link" xfId="11" builtinId="8" hidden="1"/>
    <cellStyle name="Link" xfId="13" builtinId="8" hidden="1"/>
    <cellStyle name="Link" xfId="15" builtinId="8" hidden="1"/>
    <cellStyle name="Link" xfId="17" builtinId="8" hidden="1"/>
    <cellStyle name="Link" xfId="19" builtinId="8" hidden="1"/>
    <cellStyle name="Link" xfId="21" builtinId="8" hidden="1"/>
    <cellStyle name="Link" xfId="23" builtinId="8" hidden="1"/>
    <cellStyle name="Link" xfId="25" builtinId="8" hidden="1"/>
    <cellStyle name="Link" xfId="27" builtinId="8" hidden="1"/>
    <cellStyle name="Link" xfId="29" builtinId="8" hidden="1"/>
    <cellStyle name="Link" xfId="31" builtinId="8" hidden="1"/>
    <cellStyle name="Link" xfId="33" builtinId="8" hidden="1"/>
    <cellStyle name="Link" xfId="35" builtinId="8" hidden="1"/>
    <cellStyle name="Link" xfId="37" builtinId="8" hidden="1"/>
    <cellStyle name="Link" xfId="39" builtinId="8" hidden="1"/>
    <cellStyle name="Link" xfId="41" builtinId="8" hidden="1"/>
    <cellStyle name="Link" xfId="43" builtinId="8" hidden="1"/>
    <cellStyle name="Link" xfId="45" builtinId="8" hidden="1"/>
    <cellStyle name="Link" xfId="47" builtinId="8" hidden="1"/>
    <cellStyle name="Link" xfId="49" builtinId="8" hidden="1"/>
    <cellStyle name="Link" xfId="51" builtinId="8" hidden="1"/>
    <cellStyle name="Link" xfId="53" builtinId="8" hidden="1"/>
    <cellStyle name="Link" xfId="55" builtinId="8" hidden="1"/>
    <cellStyle name="Link" xfId="57" builtinId="8" hidden="1"/>
    <cellStyle name="Link" xfId="59" builtinId="8" hidden="1"/>
    <cellStyle name="Link" xfId="61" builtinId="8" hidden="1"/>
    <cellStyle name="Link" xfId="63" builtinId="8" hidden="1"/>
    <cellStyle name="Link" xfId="65" builtinId="8" hidden="1"/>
    <cellStyle name="Link" xfId="67" builtinId="8" hidden="1"/>
    <cellStyle name="Link" xfId="69" builtinId="8" hidden="1"/>
    <cellStyle name="Link" xfId="71" builtinId="8" hidden="1"/>
    <cellStyle name="Link" xfId="73" builtinId="8" hidden="1"/>
    <cellStyle name="Link" xfId="75" builtinId="8" hidden="1"/>
    <cellStyle name="Link" xfId="77" builtinId="8" hidden="1"/>
    <cellStyle name="Link" xfId="79" builtinId="8" hidden="1"/>
    <cellStyle name="Link" xfId="81" builtinId="8" hidden="1"/>
    <cellStyle name="Link" xfId="83" builtinId="8" hidden="1"/>
    <cellStyle name="Link" xfId="85" builtinId="8" hidden="1"/>
    <cellStyle name="Link" xfId="87" builtinId="8" hidden="1"/>
    <cellStyle name="Link" xfId="89" builtinId="8" hidden="1"/>
    <cellStyle name="Link" xfId="91" builtinId="8" hidden="1"/>
    <cellStyle name="Link" xfId="93" builtinId="8" hidden="1"/>
    <cellStyle name="Link" xfId="95" builtinId="8" hidden="1"/>
    <cellStyle name="Link" xfId="97" builtinId="8" hidden="1"/>
    <cellStyle name="Link" xfId="99" builtinId="8" hidden="1"/>
    <cellStyle name="Link" xfId="101" builtinId="8" hidden="1"/>
    <cellStyle name="Link" xfId="103" builtinId="8" hidden="1"/>
    <cellStyle name="Link" xfId="105" builtinId="8" hidden="1"/>
    <cellStyle name="Link" xfId="107" builtinId="8" hidden="1"/>
    <cellStyle name="Link" xfId="109" builtinId="8" hidden="1"/>
    <cellStyle name="Link" xfId="111" builtinId="8" hidden="1"/>
    <cellStyle name="Link" xfId="113" builtinId="8" hidden="1"/>
    <cellStyle name="Link" xfId="115" builtinId="8" hidden="1"/>
    <cellStyle name="Link" xfId="117" builtinId="8" hidden="1"/>
    <cellStyle name="Link" xfId="119" builtinId="8" hidden="1"/>
    <cellStyle name="Link" xfId="121" builtinId="8" hidden="1"/>
    <cellStyle name="Link" xfId="123" builtinId="8" hidden="1"/>
    <cellStyle name="Link" xfId="125" builtinId="8" hidden="1"/>
    <cellStyle name="Link" xfId="127" builtinId="8" hidden="1"/>
    <cellStyle name="Link" xfId="129" builtinId="8" hidden="1"/>
    <cellStyle name="Link" xfId="131" builtinId="8" hidden="1"/>
    <cellStyle name="Link" xfId="133" builtinId="8" hidden="1"/>
    <cellStyle name="Link" xfId="135" builtinId="8" hidden="1"/>
    <cellStyle name="Link" xfId="137" builtinId="8" hidden="1"/>
    <cellStyle name="Link" xfId="139" builtinId="8" hidden="1"/>
    <cellStyle name="Link" xfId="141" builtinId="8" hidden="1"/>
    <cellStyle name="Link" xfId="143" builtinId="8" hidden="1"/>
    <cellStyle name="Link" xfId="145" builtinId="8" hidden="1"/>
    <cellStyle name="Link" xfId="147" builtinId="8" hidden="1"/>
    <cellStyle name="Link" xfId="149" builtinId="8" hidden="1"/>
    <cellStyle name="Link" xfId="151" builtinId="8" hidden="1"/>
    <cellStyle name="Link" xfId="153" builtinId="8" hidden="1"/>
    <cellStyle name="Link" xfId="155" builtinId="8" hidden="1"/>
    <cellStyle name="Link" xfId="157" builtinId="8" hidden="1"/>
    <cellStyle name="Prozent" xfId="1" builtinId="5"/>
    <cellStyle name="Standard" xfId="0" builtinId="0"/>
    <cellStyle name="Währung" xfId="2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73"/>
  <sheetViews>
    <sheetView tabSelected="1" workbookViewId="0">
      <pane ySplit="4" topLeftCell="A54" activePane="bottomLeft" state="frozen"/>
      <selection pane="bottomLeft" activeCell="G62" sqref="G62"/>
    </sheetView>
  </sheetViews>
  <sheetFormatPr baseColWidth="10" defaultColWidth="10.88671875" defaultRowHeight="14.4" x14ac:dyDescent="0.3"/>
  <cols>
    <col min="1" max="1" width="32" style="3" customWidth="1"/>
    <col min="2" max="2" width="2.44140625" style="3" customWidth="1"/>
    <col min="3" max="3" width="12" style="3" customWidth="1"/>
    <col min="4" max="4" width="2.44140625" style="3" customWidth="1"/>
    <col min="5" max="5" width="17.33203125" style="34" customWidth="1"/>
    <col min="6" max="6" width="2.6640625" style="3" customWidth="1"/>
    <col min="7" max="7" width="22.6640625" style="3" customWidth="1"/>
    <col min="8" max="8" width="2.6640625" style="3" customWidth="1"/>
    <col min="9" max="9" width="19.33203125" style="34" customWidth="1"/>
    <col min="10" max="10" width="3.109375" customWidth="1"/>
    <col min="11" max="11" width="16.44140625" style="3" customWidth="1"/>
    <col min="12" max="12" width="19.6640625" style="3" customWidth="1"/>
    <col min="13" max="13" width="11.88671875" style="3" customWidth="1"/>
    <col min="14" max="16" width="10.88671875" style="3"/>
    <col min="17" max="17" width="26.33203125" style="3" customWidth="1"/>
    <col min="18" max="16384" width="10.88671875" style="3"/>
  </cols>
  <sheetData>
    <row r="1" spans="1:12" ht="17.399999999999999" x14ac:dyDescent="0.3">
      <c r="A1" s="1" t="s">
        <v>37</v>
      </c>
      <c r="B1" s="2"/>
    </row>
    <row r="2" spans="1:12" x14ac:dyDescent="0.3">
      <c r="B2" s="2"/>
      <c r="C2" s="2"/>
      <c r="E2" s="3" t="s">
        <v>69</v>
      </c>
      <c r="G2" s="3" t="s">
        <v>92</v>
      </c>
      <c r="I2" s="3" t="s">
        <v>93</v>
      </c>
      <c r="K2" s="3" t="s">
        <v>94</v>
      </c>
    </row>
    <row r="3" spans="1:12" ht="31.5" customHeight="1" x14ac:dyDescent="0.3">
      <c r="A3" s="2" t="s">
        <v>78</v>
      </c>
      <c r="B3" s="2"/>
      <c r="C3" s="2"/>
      <c r="E3" s="40" t="s">
        <v>80</v>
      </c>
      <c r="G3" s="40" t="s">
        <v>80</v>
      </c>
      <c r="I3" s="40" t="s">
        <v>80</v>
      </c>
      <c r="K3" s="40" t="s">
        <v>80</v>
      </c>
      <c r="L3" s="3" t="s">
        <v>90</v>
      </c>
    </row>
    <row r="4" spans="1:12" ht="36" customHeight="1" x14ac:dyDescent="0.3">
      <c r="A4" s="2" t="s">
        <v>79</v>
      </c>
      <c r="B4" s="2"/>
      <c r="C4" s="2"/>
      <c r="E4" s="41" t="s">
        <v>81</v>
      </c>
      <c r="G4" s="42" t="s">
        <v>82</v>
      </c>
      <c r="I4" s="43" t="s">
        <v>83</v>
      </c>
      <c r="K4" s="41" t="s">
        <v>76</v>
      </c>
    </row>
    <row r="5" spans="1:12" ht="44.25" customHeight="1" x14ac:dyDescent="0.3">
      <c r="A5" s="3" t="s">
        <v>42</v>
      </c>
      <c r="D5" s="4"/>
      <c r="E5" s="4" t="s">
        <v>60</v>
      </c>
      <c r="F5" s="4"/>
      <c r="G5" s="4" t="s">
        <v>60</v>
      </c>
      <c r="H5" s="5"/>
      <c r="I5" s="4" t="s">
        <v>31</v>
      </c>
      <c r="K5" s="33" t="s">
        <v>68</v>
      </c>
    </row>
    <row r="6" spans="1:12" x14ac:dyDescent="0.3">
      <c r="A6" s="3" t="s">
        <v>43</v>
      </c>
      <c r="D6" s="6"/>
      <c r="E6" s="6">
        <v>2015</v>
      </c>
      <c r="F6" s="6"/>
      <c r="G6" s="6">
        <v>2015</v>
      </c>
      <c r="H6" s="6"/>
      <c r="I6" s="6">
        <v>2015</v>
      </c>
      <c r="K6" s="6">
        <v>2015</v>
      </c>
    </row>
    <row r="7" spans="1:12" x14ac:dyDescent="0.3">
      <c r="A7" s="3" t="s">
        <v>65</v>
      </c>
      <c r="D7" s="6"/>
      <c r="E7" s="54">
        <v>3.5000000000000003E-2</v>
      </c>
      <c r="F7" s="55"/>
      <c r="G7" s="54">
        <f>$E7</f>
        <v>3.5000000000000003E-2</v>
      </c>
      <c r="H7" s="55"/>
      <c r="I7" s="54">
        <f>$E7</f>
        <v>3.5000000000000003E-2</v>
      </c>
      <c r="J7" s="56"/>
      <c r="K7" s="54">
        <f>$E7</f>
        <v>3.5000000000000003E-2</v>
      </c>
    </row>
    <row r="8" spans="1:12" x14ac:dyDescent="0.3">
      <c r="A8" s="3" t="s">
        <v>44</v>
      </c>
      <c r="C8" s="3" t="s">
        <v>1</v>
      </c>
      <c r="D8" s="7"/>
      <c r="E8" s="7">
        <f>16.75*16.75*5</f>
        <v>1402.8125</v>
      </c>
      <c r="F8" s="7"/>
      <c r="G8" s="7">
        <f>16.75*16.75*5</f>
        <v>1402.8125</v>
      </c>
      <c r="H8" s="6"/>
      <c r="I8" s="7">
        <f>16.75*16.75*5</f>
        <v>1402.8125</v>
      </c>
      <c r="K8" s="7">
        <f>16.75*16.75*5</f>
        <v>1402.8125</v>
      </c>
    </row>
    <row r="9" spans="1:12" x14ac:dyDescent="0.3">
      <c r="A9" s="3" t="s">
        <v>45</v>
      </c>
      <c r="C9" s="3" t="s">
        <v>1</v>
      </c>
      <c r="D9" s="7"/>
      <c r="E9" s="7">
        <v>982</v>
      </c>
      <c r="F9" s="7"/>
      <c r="G9" s="7">
        <v>982</v>
      </c>
      <c r="H9" s="6"/>
      <c r="I9" s="7">
        <v>982</v>
      </c>
      <c r="K9" s="7">
        <v>982</v>
      </c>
    </row>
    <row r="10" spans="1:12" x14ac:dyDescent="0.3">
      <c r="A10" s="3" t="s">
        <v>46</v>
      </c>
      <c r="C10" s="3" t="s">
        <v>22</v>
      </c>
      <c r="D10" s="7"/>
      <c r="E10" s="7">
        <v>27</v>
      </c>
      <c r="F10" s="7"/>
      <c r="G10" s="7">
        <v>27</v>
      </c>
      <c r="H10" s="6"/>
      <c r="I10" s="7">
        <v>27</v>
      </c>
      <c r="K10" s="7">
        <v>27</v>
      </c>
    </row>
    <row r="11" spans="1:12" x14ac:dyDescent="0.3">
      <c r="A11" s="3" t="s">
        <v>47</v>
      </c>
      <c r="C11" s="3" t="s">
        <v>22</v>
      </c>
      <c r="D11" s="7"/>
      <c r="E11" s="7">
        <v>23</v>
      </c>
      <c r="F11" s="7"/>
      <c r="G11" s="7">
        <v>23</v>
      </c>
      <c r="H11" s="6"/>
      <c r="I11" s="7">
        <v>23</v>
      </c>
      <c r="K11" s="7">
        <v>23</v>
      </c>
    </row>
    <row r="12" spans="1:12" x14ac:dyDescent="0.3">
      <c r="A12" s="3" t="s">
        <v>48</v>
      </c>
      <c r="D12" s="8"/>
      <c r="E12" s="8">
        <v>0.1</v>
      </c>
      <c r="F12" s="8"/>
      <c r="G12" s="8">
        <v>0.1</v>
      </c>
      <c r="H12" s="8"/>
      <c r="I12" s="8">
        <v>0.1</v>
      </c>
      <c r="K12" s="8">
        <v>0.1</v>
      </c>
    </row>
    <row r="13" spans="1:12" x14ac:dyDescent="0.3">
      <c r="A13" s="3" t="s">
        <v>49</v>
      </c>
      <c r="C13" s="3" t="s">
        <v>2</v>
      </c>
      <c r="D13" s="7"/>
      <c r="E13" s="7">
        <v>29</v>
      </c>
      <c r="F13" s="7"/>
      <c r="G13" s="7">
        <f>E13</f>
        <v>29</v>
      </c>
      <c r="H13" s="6"/>
      <c r="I13" s="7">
        <f>E13</f>
        <v>29</v>
      </c>
      <c r="K13" s="7">
        <f>E13</f>
        <v>29</v>
      </c>
    </row>
    <row r="14" spans="1:12" x14ac:dyDescent="0.3">
      <c r="A14" s="3" t="s">
        <v>9</v>
      </c>
      <c r="C14" s="3" t="s">
        <v>5</v>
      </c>
      <c r="D14" s="9"/>
      <c r="E14" s="9">
        <f>+E$10*E$9/(1-E$12)</f>
        <v>29460</v>
      </c>
      <c r="F14" s="9"/>
      <c r="G14" s="9">
        <f>+G$10*G$9/(1-G$12)</f>
        <v>29460</v>
      </c>
      <c r="I14" s="9">
        <f>+I$10*I$9/(1-I$12)</f>
        <v>29460</v>
      </c>
      <c r="K14" s="9">
        <f>+K$10*K$9/(1-K$12)</f>
        <v>29460</v>
      </c>
    </row>
    <row r="15" spans="1:12" x14ac:dyDescent="0.3">
      <c r="A15" s="3" t="s">
        <v>62</v>
      </c>
      <c r="C15" s="3" t="s">
        <v>5</v>
      </c>
      <c r="D15" s="9"/>
      <c r="E15" s="9">
        <f>+E11*E9/(1-E12)</f>
        <v>25095.555555555555</v>
      </c>
      <c r="F15" s="9"/>
      <c r="G15" s="9">
        <f>+G11*G9/(1-G12)</f>
        <v>25095.555555555555</v>
      </c>
      <c r="I15" s="9">
        <f>+I11*I9/(1-I12)</f>
        <v>25095.555555555555</v>
      </c>
      <c r="K15" s="9">
        <f>+K11*K9/(1-K12)</f>
        <v>25095.555555555555</v>
      </c>
    </row>
    <row r="16" spans="1:12" x14ac:dyDescent="0.3">
      <c r="A16" s="2" t="s">
        <v>61</v>
      </c>
      <c r="B16" s="2"/>
      <c r="C16" s="2" t="s">
        <v>5</v>
      </c>
      <c r="D16" s="27"/>
      <c r="E16" s="27">
        <f>SUM(E14:E15)</f>
        <v>54555.555555555555</v>
      </c>
      <c r="F16" s="27"/>
      <c r="G16" s="27">
        <f>SUM(G14:G15)</f>
        <v>54555.555555555555</v>
      </c>
      <c r="H16" s="2"/>
      <c r="I16" s="27">
        <f>SUM(I14:I15)</f>
        <v>54555.555555555555</v>
      </c>
      <c r="K16" s="27">
        <f>SUM(K14:K15)</f>
        <v>54555.555555555555</v>
      </c>
    </row>
    <row r="17" spans="1:13" x14ac:dyDescent="0.3">
      <c r="E17" s="3"/>
      <c r="I17" s="3"/>
    </row>
    <row r="18" spans="1:13" x14ac:dyDescent="0.3">
      <c r="A18" s="3" t="s">
        <v>39</v>
      </c>
      <c r="C18" s="3" t="s">
        <v>4</v>
      </c>
      <c r="D18" s="7"/>
      <c r="E18" s="7">
        <v>30</v>
      </c>
      <c r="F18" s="7"/>
      <c r="G18" s="7">
        <v>30</v>
      </c>
      <c r="H18" s="6"/>
      <c r="I18" s="7">
        <v>30</v>
      </c>
    </row>
    <row r="19" spans="1:13" x14ac:dyDescent="0.3">
      <c r="A19" s="3" t="s">
        <v>38</v>
      </c>
      <c r="C19" s="3" t="s">
        <v>4</v>
      </c>
      <c r="D19" s="7"/>
      <c r="E19" s="7">
        <v>20</v>
      </c>
      <c r="F19" s="7"/>
      <c r="G19" s="7">
        <v>20</v>
      </c>
      <c r="H19" s="6"/>
      <c r="I19" s="7">
        <v>20</v>
      </c>
    </row>
    <row r="20" spans="1:13" x14ac:dyDescent="0.3">
      <c r="A20" s="3" t="s">
        <v>52</v>
      </c>
      <c r="D20" s="7"/>
      <c r="E20" s="35"/>
      <c r="F20" s="7"/>
      <c r="G20" s="7"/>
      <c r="H20" s="6"/>
      <c r="I20" s="35"/>
      <c r="K20" s="25">
        <v>20</v>
      </c>
    </row>
    <row r="21" spans="1:13" x14ac:dyDescent="0.3">
      <c r="A21" s="3" t="s">
        <v>64</v>
      </c>
      <c r="C21" s="3" t="s">
        <v>53</v>
      </c>
      <c r="D21" s="7"/>
      <c r="E21" s="35"/>
      <c r="F21" s="7"/>
      <c r="G21" s="7"/>
      <c r="H21" s="6"/>
      <c r="I21" s="35"/>
      <c r="K21" s="22">
        <f>K16/32</f>
        <v>1704.8611111111111</v>
      </c>
    </row>
    <row r="23" spans="1:13" ht="41.4" x14ac:dyDescent="0.3">
      <c r="D23" s="4"/>
      <c r="E23" s="4" t="s">
        <v>59</v>
      </c>
      <c r="F23" s="4"/>
      <c r="G23" s="4" t="s">
        <v>84</v>
      </c>
      <c r="H23" s="5"/>
      <c r="I23" s="4" t="s">
        <v>34</v>
      </c>
    </row>
    <row r="24" spans="1:13" x14ac:dyDescent="0.3">
      <c r="A24" s="2" t="s">
        <v>35</v>
      </c>
      <c r="B24" s="2"/>
      <c r="C24" s="2" t="s">
        <v>14</v>
      </c>
      <c r="D24" s="28"/>
      <c r="E24" s="28">
        <f>SUM(E25:E29)</f>
        <v>13312.125399999999</v>
      </c>
      <c r="F24" s="28"/>
      <c r="G24" s="28">
        <f>+G28+G29+G$8*(G25+G27)</f>
        <v>34270.553124999999</v>
      </c>
      <c r="H24" s="2"/>
      <c r="I24" s="28">
        <f>SUM(I25:I29)</f>
        <v>13312.125399999999</v>
      </c>
      <c r="J24" s="29"/>
      <c r="K24" s="30">
        <v>70000</v>
      </c>
      <c r="L24" s="3" t="s">
        <v>73</v>
      </c>
      <c r="M24" s="2"/>
    </row>
    <row r="25" spans="1:13" x14ac:dyDescent="0.3">
      <c r="A25" s="10" t="s">
        <v>40</v>
      </c>
      <c r="C25" s="3" t="s">
        <v>25</v>
      </c>
      <c r="D25" s="11"/>
      <c r="E25" s="11"/>
      <c r="F25" s="11"/>
      <c r="G25" s="11">
        <v>7.39</v>
      </c>
      <c r="H25" s="12"/>
      <c r="I25" s="11"/>
      <c r="L25" s="3" t="s">
        <v>95</v>
      </c>
    </row>
    <row r="26" spans="1:13" x14ac:dyDescent="0.3">
      <c r="A26" s="10" t="s">
        <v>41</v>
      </c>
      <c r="C26" s="13" t="s">
        <v>14</v>
      </c>
      <c r="D26" s="14"/>
      <c r="E26" s="11">
        <f>214.74*E$13*1.19</f>
        <v>7410.6773999999996</v>
      </c>
      <c r="F26" s="14"/>
      <c r="G26" s="11"/>
      <c r="H26" s="12"/>
      <c r="I26" s="11">
        <f>214.74*I$13*1.19</f>
        <v>7410.6773999999996</v>
      </c>
    </row>
    <row r="27" spans="1:13" x14ac:dyDescent="0.3">
      <c r="A27" s="10" t="s">
        <v>26</v>
      </c>
      <c r="C27" s="3" t="s">
        <v>25</v>
      </c>
      <c r="D27" s="11"/>
      <c r="E27" s="11"/>
      <c r="F27" s="11"/>
      <c r="G27" s="11">
        <v>12.54</v>
      </c>
      <c r="I27" s="11"/>
    </row>
    <row r="28" spans="1:13" x14ac:dyDescent="0.3">
      <c r="A28" s="10" t="s">
        <v>24</v>
      </c>
      <c r="C28" s="3" t="s">
        <v>14</v>
      </c>
      <c r="D28" s="14"/>
      <c r="E28" s="14">
        <f>4090*1.19</f>
        <v>4867.0999999999995</v>
      </c>
      <c r="F28" s="14"/>
      <c r="G28" s="14">
        <v>4706</v>
      </c>
      <c r="I28" s="14">
        <f>4090*1.19</f>
        <v>4867.0999999999995</v>
      </c>
    </row>
    <row r="29" spans="1:13" x14ac:dyDescent="0.3">
      <c r="A29" s="10" t="s">
        <v>27</v>
      </c>
      <c r="C29" s="3" t="s">
        <v>14</v>
      </c>
      <c r="D29" s="14"/>
      <c r="E29" s="14">
        <f>10*86.92*1.19</f>
        <v>1034.348</v>
      </c>
      <c r="F29" s="14"/>
      <c r="G29" s="14">
        <v>1606.5</v>
      </c>
      <c r="I29" s="14">
        <f>10*86.92*1.19</f>
        <v>1034.348</v>
      </c>
    </row>
    <row r="30" spans="1:13" x14ac:dyDescent="0.3">
      <c r="A30" s="2" t="s">
        <v>36</v>
      </c>
      <c r="B30" s="2"/>
      <c r="C30" s="2"/>
      <c r="D30" s="28"/>
      <c r="E30" s="28">
        <f>+E31*E8+E32</f>
        <v>15000</v>
      </c>
      <c r="F30" s="28"/>
      <c r="G30" s="28">
        <f>+G31*G8+G32</f>
        <v>9974.1125000000011</v>
      </c>
      <c r="H30" s="31"/>
      <c r="I30" s="28">
        <f>+I31*I8+I32</f>
        <v>12000</v>
      </c>
    </row>
    <row r="31" spans="1:13" x14ac:dyDescent="0.3">
      <c r="A31" s="10" t="s">
        <v>29</v>
      </c>
      <c r="C31" s="3" t="s">
        <v>25</v>
      </c>
      <c r="D31" s="11"/>
      <c r="E31" s="11"/>
      <c r="F31" s="11"/>
      <c r="G31" s="11">
        <v>0.68</v>
      </c>
      <c r="I31" s="11"/>
    </row>
    <row r="32" spans="1:13" x14ac:dyDescent="0.3">
      <c r="A32" s="10" t="s">
        <v>28</v>
      </c>
      <c r="C32" s="3" t="s">
        <v>14</v>
      </c>
      <c r="D32" s="14"/>
      <c r="E32" s="14">
        <v>15000</v>
      </c>
      <c r="F32" s="14"/>
      <c r="G32" s="14">
        <v>9020.2000000000007</v>
      </c>
      <c r="I32" s="14">
        <v>12000</v>
      </c>
    </row>
    <row r="33" spans="1:13" x14ac:dyDescent="0.3">
      <c r="A33" s="3" t="s">
        <v>19</v>
      </c>
      <c r="C33" s="3" t="s">
        <v>21</v>
      </c>
      <c r="D33" s="15"/>
      <c r="E33" s="15">
        <v>0</v>
      </c>
      <c r="F33" s="15"/>
      <c r="G33" s="15">
        <v>3.62</v>
      </c>
      <c r="I33" s="15">
        <v>0</v>
      </c>
      <c r="K33" s="25">
        <f>23.21*12</f>
        <v>278.52</v>
      </c>
      <c r="L33" s="3" t="s">
        <v>51</v>
      </c>
      <c r="M33" s="3" t="s">
        <v>21</v>
      </c>
    </row>
    <row r="34" spans="1:13" x14ac:dyDescent="0.3">
      <c r="D34" s="15"/>
      <c r="E34" s="15"/>
      <c r="F34" s="15"/>
      <c r="G34" s="15">
        <v>3.13</v>
      </c>
      <c r="I34" s="15"/>
      <c r="K34" s="25"/>
    </row>
    <row r="35" spans="1:13" x14ac:dyDescent="0.3">
      <c r="A35" s="3" t="s">
        <v>8</v>
      </c>
      <c r="C35" s="3" t="s">
        <v>20</v>
      </c>
      <c r="D35" s="15"/>
      <c r="E35" s="15">
        <f>51.72*1.19</f>
        <v>61.546799999999998</v>
      </c>
      <c r="F35" s="15"/>
      <c r="G35" s="15">
        <v>10.99</v>
      </c>
      <c r="I35" s="15">
        <v>61.3</v>
      </c>
    </row>
    <row r="36" spans="1:13" x14ac:dyDescent="0.3">
      <c r="A36" s="3" t="s">
        <v>16</v>
      </c>
      <c r="C36" s="3" t="s">
        <v>17</v>
      </c>
      <c r="D36" s="15"/>
      <c r="E36" s="15">
        <v>390.71</v>
      </c>
      <c r="F36" s="15"/>
      <c r="G36" s="15">
        <v>0</v>
      </c>
      <c r="I36" s="15">
        <v>390.71</v>
      </c>
    </row>
    <row r="37" spans="1:13" x14ac:dyDescent="0.3">
      <c r="A37" s="3" t="s">
        <v>0</v>
      </c>
      <c r="B37" s="16"/>
      <c r="C37" s="3" t="s">
        <v>13</v>
      </c>
      <c r="D37" s="17"/>
      <c r="E37" s="17">
        <f>0.0577*1.19</f>
        <v>6.8663000000000002E-2</v>
      </c>
      <c r="F37" s="17"/>
      <c r="G37" s="17">
        <f>0.0659</f>
        <v>6.59E-2</v>
      </c>
      <c r="I37" s="17">
        <v>7.7399999999999997E-2</v>
      </c>
      <c r="K37" s="25">
        <f>0.0599-0.0055</f>
        <v>5.4400000000000004E-2</v>
      </c>
      <c r="L37" s="3" t="s">
        <v>67</v>
      </c>
    </row>
    <row r="38" spans="1:13" x14ac:dyDescent="0.3">
      <c r="A38" s="3" t="s">
        <v>11</v>
      </c>
      <c r="D38" s="8"/>
      <c r="E38" s="8"/>
      <c r="F38" s="8"/>
      <c r="G38" s="8">
        <v>1</v>
      </c>
      <c r="I38" s="8"/>
    </row>
    <row r="40" spans="1:13" ht="41.4" x14ac:dyDescent="0.3">
      <c r="A40" s="2" t="s">
        <v>6</v>
      </c>
      <c r="B40" s="2"/>
      <c r="D40" s="4"/>
      <c r="E40" s="4" t="str">
        <f>E23</f>
        <v>Preisbasis Stahl&amp;Weiss 2012</v>
      </c>
      <c r="F40" s="4"/>
      <c r="G40" s="4" t="str">
        <f>+G23</f>
        <v>Preisbasis GLM 2015</v>
      </c>
      <c r="H40" s="5"/>
      <c r="I40" s="4" t="str">
        <f>+I23</f>
        <v>Preisbasis Vauban 2015</v>
      </c>
      <c r="K40" s="23" t="s">
        <v>50</v>
      </c>
    </row>
    <row r="41" spans="1:13" x14ac:dyDescent="0.3">
      <c r="A41" s="3" t="s">
        <v>74</v>
      </c>
      <c r="C41" s="3" t="s">
        <v>66</v>
      </c>
      <c r="D41" s="18"/>
      <c r="E41" s="18">
        <f>-1*PMT(E7,E18,E24)</f>
        <v>723.79798452300577</v>
      </c>
      <c r="F41" s="18"/>
      <c r="G41" s="18">
        <f>-1*PMT(G7,G18,G24)</f>
        <v>1863.3356083292001</v>
      </c>
      <c r="H41" s="18"/>
      <c r="I41" s="18">
        <f>-1*PMT(I7,I18,I24)</f>
        <v>723.79798452300577</v>
      </c>
      <c r="L41" s="3" t="s">
        <v>72</v>
      </c>
    </row>
    <row r="42" spans="1:13" x14ac:dyDescent="0.3">
      <c r="A42" s="3" t="s">
        <v>70</v>
      </c>
      <c r="C42" s="3" t="s">
        <v>66</v>
      </c>
      <c r="D42" s="18"/>
      <c r="E42" s="18"/>
      <c r="F42" s="18"/>
      <c r="G42" s="18"/>
      <c r="H42" s="18"/>
      <c r="I42" s="18"/>
      <c r="K42" s="18">
        <f>-1*PMT(K7,K20,K24)</f>
        <v>4925.2753748118339</v>
      </c>
      <c r="L42" s="3" t="s">
        <v>72</v>
      </c>
    </row>
    <row r="43" spans="1:13" x14ac:dyDescent="0.3">
      <c r="A43" s="3" t="s">
        <v>71</v>
      </c>
      <c r="C43" s="3" t="s">
        <v>66</v>
      </c>
      <c r="D43" s="18"/>
      <c r="E43" s="18">
        <f>-1*PMT(E7,E19,E30)</f>
        <v>1055.4161517453929</v>
      </c>
      <c r="F43" s="18"/>
      <c r="G43" s="18">
        <f>-1*PMT(G7,G19,G30)</f>
        <v>701.7892954550415</v>
      </c>
      <c r="H43" s="18"/>
      <c r="I43" s="18">
        <f>-1*PMT(I7,I19,I30)</f>
        <v>844.33292139631442</v>
      </c>
      <c r="K43" s="24"/>
      <c r="L43" s="3" t="s">
        <v>72</v>
      </c>
    </row>
    <row r="44" spans="1:13" x14ac:dyDescent="0.3">
      <c r="A44" s="3" t="s">
        <v>18</v>
      </c>
      <c r="C44" s="3" t="s">
        <v>66</v>
      </c>
      <c r="D44" s="18"/>
      <c r="E44" s="18">
        <f>+E33*E$8</f>
        <v>0</v>
      </c>
      <c r="F44" s="18"/>
      <c r="G44" s="18">
        <f>(G38*G34+(1-G38)*G33)*G$8</f>
        <v>4390.8031249999995</v>
      </c>
      <c r="H44" s="18"/>
      <c r="I44" s="18">
        <f>+I33*I$8</f>
        <v>0</v>
      </c>
      <c r="K44" s="26">
        <f>K33</f>
        <v>278.52</v>
      </c>
      <c r="L44" s="3" t="s">
        <v>51</v>
      </c>
    </row>
    <row r="45" spans="1:13" x14ac:dyDescent="0.3">
      <c r="A45" s="3" t="s">
        <v>7</v>
      </c>
      <c r="C45" s="3" t="s">
        <v>66</v>
      </c>
      <c r="D45" s="18"/>
      <c r="E45" s="18">
        <f>+E35*E$13</f>
        <v>1784.8571999999999</v>
      </c>
      <c r="F45" s="18"/>
      <c r="G45" s="18">
        <f>+G35*G$13</f>
        <v>318.70999999999998</v>
      </c>
      <c r="H45" s="18"/>
      <c r="I45" s="18">
        <f>+I35*I$13</f>
        <v>1777.6999999999998</v>
      </c>
    </row>
    <row r="46" spans="1:13" x14ac:dyDescent="0.3">
      <c r="A46" s="3" t="s">
        <v>15</v>
      </c>
      <c r="C46" s="3" t="s">
        <v>66</v>
      </c>
      <c r="D46" s="18"/>
      <c r="E46" s="18">
        <f>+E36</f>
        <v>390.71</v>
      </c>
      <c r="F46" s="18"/>
      <c r="G46" s="18">
        <f>+G36</f>
        <v>0</v>
      </c>
      <c r="H46" s="18"/>
      <c r="I46" s="18">
        <f>+I36</f>
        <v>390.71</v>
      </c>
    </row>
    <row r="47" spans="1:13" x14ac:dyDescent="0.3">
      <c r="A47" s="3" t="s">
        <v>9</v>
      </c>
      <c r="C47" s="3" t="s">
        <v>66</v>
      </c>
      <c r="D47" s="18"/>
      <c r="E47" s="18">
        <f>+E$14*E37</f>
        <v>2022.8119799999999</v>
      </c>
      <c r="F47" s="18"/>
      <c r="G47" s="18">
        <f>+G$14*G37</f>
        <v>1941.414</v>
      </c>
      <c r="H47" s="18"/>
      <c r="I47" s="18">
        <f>+I$14*I37</f>
        <v>2280.2039999999997</v>
      </c>
      <c r="K47" s="18">
        <f>+K$14*K37</f>
        <v>1602.624</v>
      </c>
      <c r="L47" s="3" t="s">
        <v>55</v>
      </c>
    </row>
    <row r="48" spans="1:13" x14ac:dyDescent="0.3">
      <c r="A48" s="3" t="s">
        <v>10</v>
      </c>
      <c r="C48" s="3" t="s">
        <v>66</v>
      </c>
      <c r="D48" s="18"/>
      <c r="E48" s="18">
        <f>+E$15*E37</f>
        <v>1723.1361311111111</v>
      </c>
      <c r="F48" s="18"/>
      <c r="G48" s="18">
        <f>+G$15*G37</f>
        <v>1653.797111111111</v>
      </c>
      <c r="H48" s="18"/>
      <c r="I48" s="18">
        <f>+I$15*I37</f>
        <v>1942.396</v>
      </c>
      <c r="K48" s="18">
        <f>+K$15*K37</f>
        <v>1365.1982222222223</v>
      </c>
      <c r="L48" s="3" t="s">
        <v>54</v>
      </c>
    </row>
    <row r="49" spans="1:17" x14ac:dyDescent="0.3">
      <c r="A49" s="2" t="s">
        <v>30</v>
      </c>
      <c r="B49" s="2"/>
      <c r="C49" s="3" t="s">
        <v>66</v>
      </c>
      <c r="D49" s="19"/>
      <c r="E49" s="19">
        <f>SUM(E41:E48)</f>
        <v>7700.72944737951</v>
      </c>
      <c r="F49" s="19"/>
      <c r="G49" s="19">
        <f>SUM(G41:G48)</f>
        <v>10869.849139895352</v>
      </c>
      <c r="I49" s="19">
        <f>SUM(I41:I48)</f>
        <v>7959.1409059193193</v>
      </c>
      <c r="K49" s="19">
        <f>SUM(K42:K48)</f>
        <v>8171.6175970340564</v>
      </c>
    </row>
    <row r="50" spans="1:17" x14ac:dyDescent="0.3">
      <c r="A50" s="2" t="s">
        <v>63</v>
      </c>
      <c r="D50" s="32"/>
      <c r="E50" s="32">
        <f>+E49/$E49</f>
        <v>1</v>
      </c>
      <c r="F50" s="32"/>
      <c r="G50" s="32">
        <f>+G49/$E49</f>
        <v>1.4115349999205939</v>
      </c>
      <c r="H50" s="2"/>
      <c r="I50" s="32">
        <f>+I49/$E49</f>
        <v>1.0335567507345351</v>
      </c>
      <c r="K50" s="32">
        <f>+K49/$E49</f>
        <v>1.0611485123418776</v>
      </c>
    </row>
    <row r="51" spans="1:17" x14ac:dyDescent="0.3">
      <c r="A51" s="47"/>
      <c r="B51" s="47"/>
      <c r="C51" s="47" t="s">
        <v>3</v>
      </c>
      <c r="D51" s="62"/>
      <c r="E51" s="44">
        <f>+E49/E$16</f>
        <v>0.14115390025746558</v>
      </c>
      <c r="F51" s="62"/>
      <c r="G51" s="44">
        <f>+G49/G$16</f>
        <v>0.19924367058871317</v>
      </c>
      <c r="H51" s="63"/>
      <c r="I51" s="44">
        <f>+I49/I$16</f>
        <v>0.14589056650361279</v>
      </c>
      <c r="J51" s="64"/>
      <c r="K51" s="44">
        <f>+K49/$G$16</f>
        <v>0.14978525126946335</v>
      </c>
    </row>
    <row r="52" spans="1:17" x14ac:dyDescent="0.3">
      <c r="A52" s="3" t="s">
        <v>32</v>
      </c>
      <c r="C52" s="3" t="s">
        <v>12</v>
      </c>
      <c r="D52" s="21"/>
      <c r="E52" s="21">
        <f>+E49/E$9/12</f>
        <v>0.65349027896974798</v>
      </c>
      <c r="F52" s="21"/>
      <c r="G52" s="21">
        <f>+G49/G$9/12</f>
        <v>0.92242440087367206</v>
      </c>
      <c r="H52" s="20"/>
      <c r="I52" s="21">
        <f>+I49/I$9/12</f>
        <v>0.67541928936857765</v>
      </c>
      <c r="K52" s="21">
        <f>+K49/$G$9/12</f>
        <v>0.69345023735862654</v>
      </c>
    </row>
    <row r="53" spans="1:17" x14ac:dyDescent="0.3">
      <c r="A53" s="3" t="s">
        <v>33</v>
      </c>
      <c r="C53" s="3" t="s">
        <v>12</v>
      </c>
      <c r="D53" s="21"/>
      <c r="E53" s="21">
        <f>+(E49-E41-E43)/E$9/12</f>
        <v>0.50250469374669982</v>
      </c>
      <c r="F53" s="21"/>
      <c r="G53" s="21">
        <f>+(G49-G41-G43)/G$9/12</f>
        <v>0.70474577699517227</v>
      </c>
      <c r="H53" s="20"/>
      <c r="I53" s="21">
        <f>+(I49-I41-I43)/I$9/12</f>
        <v>0.54234640190088246</v>
      </c>
      <c r="K53" s="21">
        <f>+(K49-K42-K43)/$G$9/12</f>
        <v>0.2754872897337256</v>
      </c>
    </row>
    <row r="54" spans="1:17" x14ac:dyDescent="0.3">
      <c r="C54" s="3" t="s">
        <v>77</v>
      </c>
      <c r="D54" s="22"/>
      <c r="E54" s="50">
        <f>+E49/E$9*100/12</f>
        <v>65.349027896974789</v>
      </c>
      <c r="F54" s="50"/>
      <c r="G54" s="50">
        <f>+G49/G$9*100/12</f>
        <v>92.2424400873672</v>
      </c>
      <c r="H54" s="32"/>
      <c r="I54" s="50">
        <f>+I49/I$9*100/12</f>
        <v>67.541928936857758</v>
      </c>
      <c r="J54" s="29"/>
      <c r="K54" s="22">
        <f>+K49/$G$9*100/12</f>
        <v>69.345023735862654</v>
      </c>
      <c r="L54" s="3" t="s">
        <v>98</v>
      </c>
    </row>
    <row r="55" spans="1:17" x14ac:dyDescent="0.3">
      <c r="A55" s="31" t="s">
        <v>23</v>
      </c>
      <c r="B55" s="2"/>
      <c r="C55" s="2"/>
      <c r="D55" s="32"/>
      <c r="E55" s="20">
        <f>+(E47+E48)/E49</f>
        <v>0.48644068548412955</v>
      </c>
      <c r="F55" s="20"/>
      <c r="G55" s="20">
        <f>+(G47+G48)/G49</f>
        <v>0.33075078272390107</v>
      </c>
      <c r="I55" s="20">
        <f>+(I47+I48)/I49</f>
        <v>0.53053464562483066</v>
      </c>
      <c r="J55" s="49"/>
      <c r="K55" s="20">
        <f>+(K47+K48)/K49</f>
        <v>0.36318662577889266</v>
      </c>
    </row>
    <row r="57" spans="1:17" x14ac:dyDescent="0.3">
      <c r="G57" s="50">
        <f>G54*12</f>
        <v>1106.9092810484065</v>
      </c>
    </row>
    <row r="58" spans="1:17" x14ac:dyDescent="0.3">
      <c r="A58" s="3" t="s">
        <v>56</v>
      </c>
      <c r="C58" s="3" t="s">
        <v>3</v>
      </c>
      <c r="D58"/>
      <c r="E58">
        <v>0.2661</v>
      </c>
      <c r="F58"/>
      <c r="G58">
        <f>E58</f>
        <v>0.2661</v>
      </c>
      <c r="I58">
        <f>G58</f>
        <v>0.2661</v>
      </c>
      <c r="K58">
        <f>I58</f>
        <v>0.2661</v>
      </c>
    </row>
    <row r="59" spans="1:17" x14ac:dyDescent="0.3">
      <c r="A59" s="2" t="s">
        <v>58</v>
      </c>
      <c r="B59" s="2"/>
      <c r="C59" s="2" t="s">
        <v>3</v>
      </c>
      <c r="D59" s="2"/>
      <c r="E59" s="36"/>
      <c r="F59" s="2"/>
      <c r="G59" s="2"/>
      <c r="H59" s="2"/>
      <c r="I59" s="36"/>
      <c r="J59" s="29"/>
      <c r="K59" s="45">
        <f>SUM(K60:K61)</f>
        <v>9.4400000000000012E-2</v>
      </c>
    </row>
    <row r="60" spans="1:17" x14ac:dyDescent="0.3">
      <c r="A60" s="3" t="s">
        <v>57</v>
      </c>
      <c r="C60" s="3" t="s">
        <v>3</v>
      </c>
      <c r="K60" s="46">
        <v>0.04</v>
      </c>
    </row>
    <row r="61" spans="1:17" x14ac:dyDescent="0.3">
      <c r="A61" s="3" t="s">
        <v>50</v>
      </c>
      <c r="C61" s="3" t="s">
        <v>3</v>
      </c>
      <c r="K61" s="46">
        <f>K37</f>
        <v>5.4400000000000004E-2</v>
      </c>
    </row>
    <row r="62" spans="1:17" x14ac:dyDescent="0.3">
      <c r="K62" s="3" t="s">
        <v>75</v>
      </c>
    </row>
    <row r="63" spans="1:17" x14ac:dyDescent="0.3">
      <c r="A63" s="3" t="s">
        <v>88</v>
      </c>
      <c r="K63" s="16">
        <v>1</v>
      </c>
      <c r="L63" s="60" t="s">
        <v>97</v>
      </c>
      <c r="M63" s="60"/>
      <c r="N63" s="60"/>
      <c r="O63" s="60"/>
      <c r="P63" s="60"/>
      <c r="Q63" s="60"/>
    </row>
    <row r="64" spans="1:17" x14ac:dyDescent="0.3">
      <c r="A64" s="3" t="s">
        <v>85</v>
      </c>
      <c r="K64" s="48">
        <f>K63*K42</f>
        <v>4925.2753748118339</v>
      </c>
      <c r="L64" s="60"/>
      <c r="M64" s="60"/>
      <c r="N64" s="60"/>
      <c r="O64" s="60"/>
      <c r="P64" s="60"/>
      <c r="Q64" s="60"/>
    </row>
    <row r="65" spans="1:17" ht="16.2" x14ac:dyDescent="0.35">
      <c r="A65" s="37" t="s">
        <v>99</v>
      </c>
      <c r="B65" s="37"/>
      <c r="C65" s="37" t="str">
        <f>C51</f>
        <v>€/kWh</v>
      </c>
      <c r="D65" s="37"/>
      <c r="E65" s="39">
        <f>E51</f>
        <v>0.14115390025746558</v>
      </c>
      <c r="F65" s="39"/>
      <c r="G65" s="39">
        <f>G51</f>
        <v>0.19924367058871317</v>
      </c>
      <c r="H65" s="39"/>
      <c r="I65" s="39">
        <f>I51</f>
        <v>0.14589056650361279</v>
      </c>
      <c r="J65" s="38"/>
      <c r="K65" s="39">
        <f>(1-K64/K49)*K51</f>
        <v>5.9505254582484721E-2</v>
      </c>
      <c r="L65" s="60"/>
      <c r="M65" s="60"/>
      <c r="N65" s="60"/>
      <c r="O65" s="60"/>
      <c r="P65" s="60"/>
      <c r="Q65" s="60"/>
    </row>
    <row r="66" spans="1:17" x14ac:dyDescent="0.3">
      <c r="A66" s="51" t="s">
        <v>86</v>
      </c>
      <c r="B66" s="51"/>
      <c r="C66" s="51"/>
      <c r="D66" s="51"/>
      <c r="E66" s="52">
        <f>$G51/E51-1</f>
        <v>0.41153499992059372</v>
      </c>
      <c r="F66" s="51"/>
      <c r="G66" s="52">
        <f>$G51/G51-1</f>
        <v>0</v>
      </c>
      <c r="H66" s="51"/>
      <c r="I66" s="52">
        <f>$G51/I51-1</f>
        <v>0.3657063329298893</v>
      </c>
      <c r="J66" s="53"/>
      <c r="K66" s="52">
        <f>$G51/K65-1</f>
        <v>2.348337419723606</v>
      </c>
    </row>
    <row r="67" spans="1:17" x14ac:dyDescent="0.3">
      <c r="K67" s="3" t="s">
        <v>87</v>
      </c>
    </row>
    <row r="68" spans="1:17" x14ac:dyDescent="0.3">
      <c r="A68" s="51" t="s">
        <v>89</v>
      </c>
      <c r="B68" s="51"/>
      <c r="C68" s="51" t="s">
        <v>77</v>
      </c>
      <c r="D68" s="51"/>
      <c r="E68" s="61">
        <f>E54</f>
        <v>65.349027896974789</v>
      </c>
      <c r="F68" s="51"/>
      <c r="G68" s="61">
        <f>G54</f>
        <v>92.2424400873672</v>
      </c>
      <c r="H68" s="51"/>
      <c r="I68" s="61">
        <f>I54</f>
        <v>67.541928936857758</v>
      </c>
      <c r="J68" s="53"/>
      <c r="K68" s="61">
        <f>(K49-K64)/$G$9*100/12</f>
        <v>27.548728973372562</v>
      </c>
    </row>
    <row r="69" spans="1:17" x14ac:dyDescent="0.3">
      <c r="E69" s="47"/>
      <c r="F69" s="47"/>
      <c r="G69" s="47"/>
      <c r="H69" s="47"/>
      <c r="I69" s="57"/>
      <c r="K69" s="59" t="s">
        <v>96</v>
      </c>
    </row>
    <row r="70" spans="1:17" ht="13.8" x14ac:dyDescent="0.25">
      <c r="E70" s="22">
        <f>($G54-E68)*12</f>
        <v>322.72094628470893</v>
      </c>
      <c r="F70" s="22"/>
      <c r="G70" s="22">
        <f>($G54-G68)*12</f>
        <v>0</v>
      </c>
      <c r="H70" s="22"/>
      <c r="I70" s="22">
        <f>($G54-I68)*12</f>
        <v>296.4061338061133</v>
      </c>
      <c r="J70" s="22"/>
      <c r="K70" s="22">
        <f>($G54-K68)*12</f>
        <v>776.3245333679356</v>
      </c>
    </row>
    <row r="71" spans="1:17" x14ac:dyDescent="0.3">
      <c r="E71" s="58"/>
      <c r="F71" s="58"/>
      <c r="G71" s="58"/>
      <c r="H71" s="58"/>
      <c r="I71" s="58"/>
      <c r="K71" s="3" t="s">
        <v>91</v>
      </c>
    </row>
    <row r="72" spans="1:17" x14ac:dyDescent="0.3">
      <c r="E72" s="58"/>
      <c r="F72" s="58"/>
      <c r="G72" s="58"/>
      <c r="H72" s="58"/>
      <c r="I72" s="58"/>
    </row>
    <row r="73" spans="1:17" x14ac:dyDescent="0.3">
      <c r="E73" s="58"/>
      <c r="F73" s="58"/>
      <c r="G73" s="44"/>
      <c r="H73" s="58"/>
      <c r="I73" s="58"/>
    </row>
  </sheetData>
  <mergeCells count="1">
    <mergeCell ref="L63:Q65"/>
  </mergeCells>
  <printOptions gridLines="1"/>
  <pageMargins left="0.70866141732283472" right="0.70866141732283472" top="0.78740157480314965" bottom="0.78740157480314965" header="0.31496062992125984" footer="0.31496062992125984"/>
  <pageSetup paperSize="9" scale="91" orientation="portrait" r:id="rId1"/>
  <legacy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Vergleich Wärmekosten</vt:lpstr>
      <vt:lpstr>'Vergleich Wärmekosten'!Druckbereich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Achim Kimmerle</cp:lastModifiedBy>
  <cp:lastPrinted>2015-07-24T10:19:39Z</cp:lastPrinted>
  <dcterms:created xsi:type="dcterms:W3CDTF">2015-07-13T06:57:16Z</dcterms:created>
  <dcterms:modified xsi:type="dcterms:W3CDTF">2015-10-05T20:19:24Z</dcterms:modified>
  <cp:category/>
</cp:coreProperties>
</file>